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c\Documents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Model 2" sheetId="3" r:id="rId2"/>
  </sheets>
  <calcPr calcId="152511"/>
</workbook>
</file>

<file path=xl/calcChain.xml><?xml version="1.0" encoding="utf-8"?>
<calcChain xmlns="http://schemas.openxmlformats.org/spreadsheetml/2006/main">
  <c r="O38" i="3" l="1"/>
  <c r="O36" i="3"/>
  <c r="O39" i="3" l="1"/>
  <c r="D59" i="3"/>
  <c r="D58" i="3"/>
  <c r="Q29" i="3" l="1"/>
  <c r="K27" i="3" l="1"/>
  <c r="K31" i="3" s="1"/>
  <c r="R29" i="3" l="1"/>
  <c r="R7" i="3"/>
  <c r="R8" i="3"/>
  <c r="R9" i="3"/>
  <c r="R10" i="3"/>
  <c r="R11" i="3"/>
  <c r="R12" i="3"/>
  <c r="R13" i="3"/>
  <c r="R14" i="3"/>
  <c r="R15" i="3"/>
  <c r="R16" i="3"/>
  <c r="R17" i="3"/>
  <c r="R6" i="3"/>
  <c r="I40" i="3"/>
  <c r="I39" i="3" s="1"/>
  <c r="D50" i="3"/>
  <c r="I27" i="3"/>
  <c r="D27" i="3"/>
  <c r="L13" i="3"/>
  <c r="M13" i="3" s="1"/>
  <c r="O13" i="3"/>
  <c r="P13" i="3"/>
  <c r="Q13" i="3" s="1"/>
  <c r="L14" i="3"/>
  <c r="M14" i="3" s="1"/>
  <c r="O14" i="3"/>
  <c r="P14" i="3"/>
  <c r="Q14" i="3" s="1"/>
  <c r="L15" i="3"/>
  <c r="M15" i="3" s="1"/>
  <c r="O15" i="3"/>
  <c r="P15" i="3"/>
  <c r="Q15" i="3" s="1"/>
  <c r="L16" i="3"/>
  <c r="M16" i="3" s="1"/>
  <c r="O16" i="3"/>
  <c r="P16" i="3"/>
  <c r="Q16" i="3" s="1"/>
  <c r="T14" i="3" l="1"/>
  <c r="T15" i="3"/>
  <c r="T16" i="3"/>
  <c r="T13" i="3"/>
  <c r="P29" i="3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7" i="3"/>
  <c r="Q17" i="3" s="1"/>
  <c r="P6" i="3"/>
  <c r="Q6" i="3" s="1"/>
  <c r="O6" i="3"/>
  <c r="Q27" i="3" l="1"/>
  <c r="Q31" i="3" s="1"/>
  <c r="R37" i="3" s="1"/>
  <c r="P27" i="3"/>
  <c r="P31" i="3" s="1"/>
  <c r="O29" i="3"/>
  <c r="T6" i="3" l="1"/>
  <c r="O7" i="3"/>
  <c r="O8" i="3"/>
  <c r="O9" i="3"/>
  <c r="O10" i="3"/>
  <c r="O11" i="3"/>
  <c r="O12" i="3"/>
  <c r="O17" i="3"/>
  <c r="O27" i="3" l="1"/>
  <c r="O31" i="3" s="1"/>
  <c r="I34" i="3"/>
  <c r="T29" i="3" l="1"/>
  <c r="L29" i="3" l="1"/>
  <c r="L24" i="3"/>
  <c r="M24" i="3" s="1"/>
  <c r="L9" i="3"/>
  <c r="M9" i="3" s="1"/>
  <c r="L10" i="3"/>
  <c r="M10" i="3" s="1"/>
  <c r="L7" i="3"/>
  <c r="M7" i="3" s="1"/>
  <c r="L8" i="3"/>
  <c r="M8" i="3" s="1"/>
  <c r="L23" i="3"/>
  <c r="M23" i="3" s="1"/>
  <c r="L25" i="3"/>
  <c r="M25" i="3" s="1"/>
  <c r="L11" i="3"/>
  <c r="M11" i="3" s="1"/>
  <c r="L12" i="3"/>
  <c r="M12" i="3" s="1"/>
  <c r="L17" i="3"/>
  <c r="M17" i="3" s="1"/>
  <c r="L6" i="3"/>
  <c r="M6" i="3" s="1"/>
  <c r="T12" i="3" l="1"/>
  <c r="T10" i="3"/>
  <c r="T11" i="3"/>
  <c r="R27" i="3" l="1"/>
  <c r="R31" i="3" s="1"/>
  <c r="T17" i="3"/>
  <c r="T8" i="3"/>
  <c r="T9" i="3"/>
  <c r="T7" i="3" l="1"/>
  <c r="M29" i="3"/>
  <c r="D47" i="3"/>
  <c r="D51" i="3" l="1"/>
  <c r="T27" i="3"/>
  <c r="T31" i="3" s="1"/>
  <c r="D43" i="3"/>
  <c r="D41" i="3"/>
  <c r="D54" i="3" l="1"/>
  <c r="I37" i="3"/>
  <c r="F27" i="3"/>
  <c r="F31" i="3" s="1"/>
  <c r="I38" i="3" l="1"/>
  <c r="D60" i="3"/>
  <c r="O35" i="3" s="1"/>
  <c r="D31" i="3"/>
  <c r="E27" i="3"/>
  <c r="L27" i="3"/>
  <c r="R38" i="3" l="1"/>
  <c r="L31" i="3"/>
  <c r="E31" i="3"/>
  <c r="I31" i="3"/>
  <c r="I36" i="3" s="1"/>
  <c r="N8" i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S29" i="3" l="1"/>
  <c r="S6" i="3"/>
  <c r="S7" i="3"/>
  <c r="S8" i="3"/>
  <c r="U8" i="3" s="1"/>
  <c r="S9" i="3"/>
  <c r="S13" i="3"/>
  <c r="U13" i="3" s="1"/>
  <c r="S16" i="3"/>
  <c r="U16" i="3" s="1"/>
  <c r="S10" i="3"/>
  <c r="U10" i="3" s="1"/>
  <c r="S15" i="3"/>
  <c r="U15" i="3" s="1"/>
  <c r="S11" i="3"/>
  <c r="U11" i="3" s="1"/>
  <c r="S12" i="3"/>
  <c r="U12" i="3" s="1"/>
  <c r="S14" i="3"/>
  <c r="U14" i="3" s="1"/>
  <c r="S17" i="3"/>
  <c r="U17" i="3" s="1"/>
  <c r="U6" i="3"/>
  <c r="U7" i="3"/>
  <c r="U29" i="3"/>
  <c r="U9" i="3"/>
  <c r="J27" i="3"/>
  <c r="J31" i="3" s="1"/>
  <c r="K9" i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U27" i="3" l="1"/>
  <c r="U31" i="3" s="1"/>
  <c r="S27" i="3"/>
  <c r="S31" i="3" s="1"/>
  <c r="M27" i="3"/>
  <c r="M31" i="3" s="1"/>
  <c r="I53" i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47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<sst xmlns="http://schemas.openxmlformats.org/spreadsheetml/2006/main" count="166" uniqueCount="137">
  <si>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</si>
  <si>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</si>
  <si>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</si>
  <si>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</si>
  <si>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</si>
  <si>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</si>
  <si>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</si>
  <si>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</si>
  <si>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</si>
  <si>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</si>
  <si>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</si>
  <si>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</si>
  <si>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</si>
  <si>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</si>
  <si>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</si>
  <si>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</si>
  <si>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</si>
  <si>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</si>
  <si>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</si>
  <si>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</si>
  <si>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</si>
  <si>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</si>
  <si>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</si>
  <si>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</si>
  <si>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</si>
  <si>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</si>
  <si>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</si>
  <si>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</si>
  <si>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</si>
  <si>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</si>
  <si>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</si>
  <si>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</si>
  <si>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</si>
  <si>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</si>
  <si>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</si>
  <si>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</si>
  <si>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</si>
  <si>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</si>
  <si>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</si>
  <si>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</si>
  <si>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</si>
  <si>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</si>
  <si>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</si>
  <si>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</si>
  <si>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</si>
  <si>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</si>
  <si>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</si>
  <si>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</si>
  <si>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</si>
  <si>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</si>
  <si>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</si>
  <si>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</si>
  <si>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</si>
  <si>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</si>
  <si>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</si>
  <si>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</si>
  <si>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</si>
  <si>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</si>
  <si>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</si>
  <si>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</si>
  <si>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</si>
  <si>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</si>
  <si>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</si>
  <si>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</si>
  <si>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</si>
  <si>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</si>
  <si>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</si>
  <si>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</si>
  <si>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</si>
  <si>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</si>
  <si>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</si>
  <si>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</si>
  <si>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</si>
  <si>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</si>
  <si>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</si>
  <si>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</si>
  <si>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t>Total i alt: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</si>
  <si>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</si>
  <si>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</si>
  <si>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</si>
  <si>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</si>
  <si>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</si>
  <si>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</si>
  <si>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t xml:space="preserve">Total
</t>
  </si>
  <si>
    <t>(2018 Pris)</t>
  </si>
  <si>
    <t>Grundtildeling</t>
  </si>
  <si>
    <t xml:space="preserve">Forslag til ny tildelingsmodel
til juniorkluber og SFO 2 </t>
  </si>
  <si>
    <r>
      <t xml:space="preserve">Kontingent
</t>
    </r>
    <r>
      <rPr>
        <sz val="8"/>
        <rFont val="Arial"/>
        <family val="2"/>
      </rPr>
      <t>(gl. ordning 11 mdr. )</t>
    </r>
  </si>
  <si>
    <t>pr. afdeling</t>
  </si>
  <si>
    <r>
      <t xml:space="preserve">Kontingent
</t>
    </r>
    <r>
      <rPr>
        <sz val="8"/>
        <rFont val="Arial"/>
        <family val="2"/>
      </rPr>
      <t>(min. 100 kr. pr. måned)</t>
    </r>
  </si>
  <si>
    <t>fordeles i f. h.t. tilmeldte</t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</si>
  <si>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</si>
  <si>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</si>
  <si>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>Frivillig kontingent</t>
  </si>
  <si>
    <t xml:space="preserve">Min. kontingent pr. måned </t>
  </si>
  <si>
    <t xml:space="preserve">Samlede antal børn.  </t>
  </si>
  <si>
    <t xml:space="preserve">Budget 2018   </t>
  </si>
  <si>
    <t>kr. pr. barn</t>
  </si>
  <si>
    <t xml:space="preserve">Tilskud
</t>
  </si>
  <si>
    <t>heraf fordeles i f h.t. potentielle</t>
  </si>
  <si>
    <t>fordeles i f.h.t  fremmøde</t>
  </si>
  <si>
    <t>Grund-tildeling</t>
  </si>
  <si>
    <r>
      <t xml:space="preserve">Model 2 f.h.t. grundtildeling, elevtal og fremmøde           </t>
    </r>
    <r>
      <rPr>
        <sz val="8"/>
        <color theme="1"/>
        <rFont val="Arial"/>
        <family val="2"/>
      </rPr>
      <t xml:space="preserve">                                                       - obl. kontingent                            </t>
    </r>
  </si>
  <si>
    <r>
      <t xml:space="preserve">Frem-møde børn
</t>
    </r>
    <r>
      <rPr>
        <sz val="8"/>
        <rFont val="Arial"/>
        <family val="2"/>
      </rPr>
      <t>15/3-2018</t>
    </r>
  </si>
  <si>
    <r>
      <t xml:space="preserve">Samlet segment
</t>
    </r>
    <r>
      <rPr>
        <sz val="8"/>
        <rFont val="Arial"/>
        <family val="2"/>
      </rPr>
      <t>Elever i 4.-.6 kl.</t>
    </r>
  </si>
  <si>
    <t>Model 2 - Arbejdsgruppens forslag til ny tildelingsmodel til juniorklubber og SFO2 fra 2019</t>
  </si>
  <si>
    <t>tilrettet i forhold til børnetal pr. 5/9-2018 og med besparelse på 276.000 kr.  fra 1/1-2019</t>
  </si>
  <si>
    <t>Sct. Jacobi skole</t>
  </si>
  <si>
    <t>Starup skole</t>
  </si>
  <si>
    <r>
      <t xml:space="preserve">Børn tilmeldt
</t>
    </r>
    <r>
      <rPr>
        <sz val="8"/>
        <rFont val="Arial"/>
        <family val="2"/>
      </rPr>
      <t>pr. 5/9-2018</t>
    </r>
  </si>
  <si>
    <r>
      <t xml:space="preserve">Fremmøde børn
</t>
    </r>
    <r>
      <rPr>
        <sz val="9"/>
        <rFont val="Arial"/>
        <family val="2"/>
      </rPr>
      <t>(</t>
    </r>
    <r>
      <rPr>
        <sz val="8"/>
        <rFont val="Arial"/>
        <family val="2"/>
      </rPr>
      <t>5/9-2018)</t>
    </r>
  </si>
  <si>
    <t>Demografi pr. 5/9-2018</t>
  </si>
  <si>
    <t>Besparelse i budget 2019</t>
  </si>
  <si>
    <t>Budget 2019</t>
  </si>
  <si>
    <t>Effektiviseringen af 0,5%'s besparelsen er ikke indregnet.</t>
  </si>
  <si>
    <t xml:space="preserve">Budget 2019 </t>
  </si>
  <si>
    <t>Lukkede klubber pr. 1/8-2018:</t>
  </si>
  <si>
    <r>
      <t xml:space="preserve">Frem-møde børn
</t>
    </r>
    <r>
      <rPr>
        <sz val="8"/>
        <rFont val="Arial"/>
        <family val="2"/>
      </rPr>
      <t>5/9-2018</t>
    </r>
  </si>
  <si>
    <t>Tilskud
i 2019
efter budget-reduktion</t>
  </si>
  <si>
    <t>Tilskud
2018</t>
  </si>
  <si>
    <t>Total
i 2019</t>
  </si>
  <si>
    <r>
      <t xml:space="preserve">Skønnet tilmeldte børn
</t>
    </r>
    <r>
      <rPr>
        <i/>
        <sz val="8"/>
        <rFont val="Arial"/>
        <family val="2"/>
      </rPr>
      <t>pr. 1/1-2019</t>
    </r>
  </si>
  <si>
    <t>Lukkede klubber pr. 1/8-2019:</t>
  </si>
  <si>
    <t>Helårsvirkning af lukkede</t>
  </si>
  <si>
    <t>klubber pr. 1/8-2019</t>
  </si>
  <si>
    <t>Lykkesgårdsskolen</t>
  </si>
  <si>
    <t>Alslev skole</t>
  </si>
  <si>
    <t>Budgetramme herefter</t>
  </si>
  <si>
    <t>Budget 2019 ex. lukkede klubber pr. 1.8.2019 (helårsvirkning)</t>
  </si>
  <si>
    <t>Blåvandshuk Skole, Janderup afd.</t>
  </si>
  <si>
    <t>Blåbjergskolen - Outrup afd.</t>
  </si>
  <si>
    <t>Årre Børnecenter</t>
  </si>
  <si>
    <t>Nordenskov-Næsbjerg Skole, Næsbjerg afd.</t>
  </si>
  <si>
    <t>Nordenskov-Næsbjerg Skole, Nordenskov afd.</t>
  </si>
  <si>
    <t>Trane Skole, Thorstrup afd.</t>
  </si>
  <si>
    <t>Trane Skole, Tistrup afd.</t>
  </si>
  <si>
    <t>Agerbæk-Starup Skole, Agerbæk 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</si>
</sst>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\ &quot;kr. /½ år&quot;"/>
    <numFmt numFmtId="172" formatCode="0.00\ &quot;%&quot;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2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2" fontId="12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3" fontId="8" fillId="0" borderId="0" xfId="1" applyNumberFormat="1" applyFont="1" applyFill="1" applyBorder="1"/>
    <xf numFmtId="0" fontId="16" fillId="0" borderId="0" xfId="0" applyFont="1"/>
    <xf numFmtId="172" fontId="12" fillId="0" borderId="27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0" fontId="8" fillId="0" borderId="0" xfId="0" applyNumberFormat="1" applyFont="1" applyAlignment="1"/>
    <xf numFmtId="3" fontId="8" fillId="0" borderId="29" xfId="1" applyNumberFormat="1" applyFont="1" applyFill="1" applyBorder="1"/>
    <xf numFmtId="1" fontId="8" fillId="0" borderId="0" xfId="0" applyNumberFormat="1" applyFont="1" applyAlignment="1"/>
    <xf numFmtId="3" fontId="8" fillId="0" borderId="29" xfId="1" applyNumberFormat="1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19" fillId="0" borderId="0" xfId="0" applyFont="1"/>
    <xf numFmtId="0" fontId="0" fillId="0" borderId="23" xfId="0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left"/>
    </xf>
    <xf numFmtId="170" fontId="12" fillId="0" borderId="0" xfId="0" applyNumberFormat="1" applyFont="1" applyFill="1" applyBorder="1" applyAlignment="1">
      <alignment horizontal="left"/>
    </xf>
    <xf numFmtId="3" fontId="8" fillId="0" borderId="23" xfId="1" applyNumberFormat="1" applyFont="1" applyFill="1" applyBorder="1"/>
    <xf numFmtId="3" fontId="8" fillId="0" borderId="24" xfId="1" applyNumberFormat="1" applyFont="1" applyFill="1" applyBorder="1"/>
    <xf numFmtId="0" fontId="0" fillId="0" borderId="0" xfId="0" applyFill="1"/>
    <xf numFmtId="171" fontId="12" fillId="0" borderId="0" xfId="0" applyNumberFormat="1" applyFont="1" applyFill="1" applyBorder="1" applyAlignment="1">
      <alignment horizontal="left"/>
    </xf>
    <xf numFmtId="0" fontId="20" fillId="0" borderId="0" xfId="0" applyFont="1"/>
    <xf numFmtId="0" fontId="21" fillId="0" borderId="0" xfId="0" applyFont="1" applyBorder="1"/>
    <xf numFmtId="3" fontId="4" fillId="0" borderId="0" xfId="1" applyNumberFormat="1" applyFont="1" applyBorder="1"/>
    <xf numFmtId="3" fontId="4" fillId="0" borderId="24" xfId="1" applyNumberFormat="1" applyFont="1" applyBorder="1"/>
    <xf numFmtId="0" fontId="21" fillId="0" borderId="0" xfId="0" applyFont="1" applyBorder="1" applyAlignment="1">
      <alignment horizontal="left"/>
    </xf>
    <xf numFmtId="0" fontId="1" fillId="0" borderId="0" xfId="0" applyFont="1"/>
    <xf numFmtId="3" fontId="0" fillId="0" borderId="0" xfId="0" applyNumberFormat="1" applyBorder="1"/>
    <xf numFmtId="3" fontId="22" fillId="0" borderId="0" xfId="0" applyNumberFormat="1" applyFont="1"/>
    <xf numFmtId="0" fontId="22" fillId="0" borderId="0" xfId="0" applyNumberFormat="1" applyFont="1"/>
    <xf numFmtId="3" fontId="22" fillId="0" borderId="0" xfId="0" applyNumberFormat="1" applyFont="1" applyAlignment="1"/>
    <xf numFmtId="0" fontId="23" fillId="0" borderId="21" xfId="1" applyNumberFormat="1" applyFont="1" applyBorder="1" applyAlignment="1">
      <alignment vertical="center" wrapText="1"/>
    </xf>
    <xf numFmtId="3" fontId="8" fillId="0" borderId="16" xfId="0" applyNumberFormat="1" applyFont="1" applyBorder="1"/>
    <xf numFmtId="0" fontId="4" fillId="0" borderId="0" xfId="0" applyNumberFormat="1" applyFont="1" applyAlignment="1">
      <alignment horizontal="left"/>
    </xf>
    <xf numFmtId="0" fontId="21" fillId="0" borderId="0" xfId="0" applyFont="1" applyFill="1" applyBorder="1"/>
    <xf numFmtId="0" fontId="2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68"/>
  <sheetViews>
    <sheetView showGridLines="0" tabSelected="1" topLeftCell="A2" zoomScaleNormal="100" workbookViewId="0">
      <selection activeCell="C13" sqref="C13"/>
    </sheetView>
  </sheetViews>
  <sheetFormatPr defaultRowHeight="12.75" x14ac:dyDescent="0.2"/>
  <cols>
    <col min="1" max="1" width="0.7109375" customWidth="1"/>
    <col min="2" max="2" width="1.42578125" customWidth="1"/>
    <col min="3" max="3" width="29" customWidth="1"/>
    <col min="4" max="4" width="10.5703125" customWidth="1"/>
    <col min="5" max="5" width="8" customWidth="1"/>
    <col min="6" max="6" width="8.5703125" hidden="1" customWidth="1"/>
    <col min="7" max="7" width="12.5703125" style="109" customWidth="1"/>
    <col min="8" max="8" width="1.42578125" customWidth="1"/>
    <col min="9" max="9" width="10.85546875" style="97" customWidth="1"/>
    <col min="10" max="11" width="11.42578125" style="97" customWidth="1"/>
    <col min="12" max="12" width="11.28515625" style="97" customWidth="1"/>
    <col min="13" max="13" width="11.5703125" style="97" customWidth="1"/>
    <col min="14" max="14" width="1.42578125" customWidth="1"/>
    <col min="15" max="15" width="11.7109375" style="97" customWidth="1"/>
    <col min="16" max="16" width="9.28515625" style="97" customWidth="1"/>
    <col min="17" max="17" width="10" style="97" customWidth="1"/>
    <col min="18" max="18" width="10.140625" style="97" customWidth="1"/>
    <col min="19" max="19" width="11.28515625" style="97" customWidth="1"/>
    <col min="20" max="20" width="11.42578125" style="97" customWidth="1"/>
    <col min="21" max="21" width="11.28515625" style="97" customWidth="1"/>
    <col min="22" max="22" width="1.42578125" style="138" customWidth="1"/>
  </cols>
  <sheetData>
    <row r="1" spans="2:22" ht="18" x14ac:dyDescent="0.25">
      <c r="C1" s="145" t="s">
        <v>105</v>
      </c>
    </row>
    <row r="2" spans="2:22" ht="14.25" x14ac:dyDescent="0.2">
      <c r="C2" s="154" t="s">
        <v>106</v>
      </c>
    </row>
    <row r="3" spans="2:22" ht="39" customHeight="1" thickBot="1" x14ac:dyDescent="0.35">
      <c r="H3" s="110"/>
      <c r="I3" s="170" t="s">
        <v>91</v>
      </c>
      <c r="J3" s="170"/>
      <c r="K3" s="170"/>
      <c r="L3" s="170"/>
      <c r="M3" s="170"/>
      <c r="O3" s="170" t="s">
        <v>102</v>
      </c>
      <c r="P3" s="170"/>
      <c r="Q3" s="170"/>
      <c r="R3" s="170"/>
      <c r="S3" s="170"/>
      <c r="T3" s="170"/>
      <c r="U3" s="170"/>
      <c r="V3" s="139"/>
    </row>
    <row r="4" spans="2:22" s="107" customFormat="1" ht="54.75" customHeight="1" thickTop="1" thickBot="1" x14ac:dyDescent="0.25">
      <c r="B4" s="171" t="s">
        <v>86</v>
      </c>
      <c r="C4" s="172"/>
      <c r="D4" s="113" t="s">
        <v>75</v>
      </c>
      <c r="E4" s="144" t="s">
        <v>109</v>
      </c>
      <c r="F4" s="144" t="s">
        <v>103</v>
      </c>
      <c r="G4" s="113" t="s">
        <v>78</v>
      </c>
      <c r="H4" s="119"/>
      <c r="I4" s="98" t="s">
        <v>110</v>
      </c>
      <c r="J4" s="99" t="s">
        <v>119</v>
      </c>
      <c r="K4" s="99" t="s">
        <v>118</v>
      </c>
      <c r="L4" s="99" t="s">
        <v>87</v>
      </c>
      <c r="M4" s="100" t="s">
        <v>120</v>
      </c>
      <c r="O4" s="98" t="s">
        <v>101</v>
      </c>
      <c r="P4" s="99" t="s">
        <v>104</v>
      </c>
      <c r="Q4" s="164" t="s">
        <v>121</v>
      </c>
      <c r="R4" s="144" t="s">
        <v>117</v>
      </c>
      <c r="S4" s="99" t="s">
        <v>98</v>
      </c>
      <c r="T4" s="99" t="s">
        <v>89</v>
      </c>
      <c r="U4" s="100" t="s">
        <v>83</v>
      </c>
      <c r="V4" s="140"/>
    </row>
    <row r="5" spans="2:22" ht="12" customHeight="1" x14ac:dyDescent="0.2">
      <c r="B5" s="111"/>
      <c r="C5" s="110"/>
      <c r="D5" s="114"/>
      <c r="E5" s="114"/>
      <c r="F5" s="114"/>
      <c r="G5" s="118" t="s">
        <v>79</v>
      </c>
      <c r="H5" s="111"/>
      <c r="I5" s="101"/>
      <c r="J5" s="102"/>
      <c r="K5" s="102"/>
      <c r="L5" s="102"/>
      <c r="M5" s="103"/>
      <c r="O5" s="101"/>
      <c r="P5" s="102"/>
      <c r="Q5" s="102"/>
      <c r="R5" s="102"/>
      <c r="S5" s="102"/>
      <c r="T5" s="102"/>
      <c r="U5" s="103"/>
      <c r="V5" s="128"/>
    </row>
    <row r="6" spans="2:22" ht="18.75" customHeight="1" x14ac:dyDescent="0.2">
      <c r="B6" s="111"/>
      <c r="C6" s="112" t="s">
        <v>129</v>
      </c>
      <c r="D6" s="114">
        <v>47</v>
      </c>
      <c r="E6" s="114">
        <v>47</v>
      </c>
      <c r="F6" s="114">
        <v>17</v>
      </c>
      <c r="G6" s="120">
        <v>0</v>
      </c>
      <c r="H6" s="111"/>
      <c r="I6" s="101">
        <v>24</v>
      </c>
      <c r="J6" s="102">
        <v>248045</v>
      </c>
      <c r="K6" s="102">
        <v>235639</v>
      </c>
      <c r="L6" s="102">
        <f t="shared" ref="L6:L9" si="0">(E6*G6)*11</f>
        <v>0</v>
      </c>
      <c r="M6" s="103">
        <f>K6+L6</f>
        <v>235639</v>
      </c>
      <c r="O6" s="101">
        <f t="shared" ref="O6:O17" si="1">$R$39</f>
        <v>70000</v>
      </c>
      <c r="P6" s="102">
        <f t="shared" ref="P6:P17" si="2">D6</f>
        <v>47</v>
      </c>
      <c r="Q6" s="102">
        <f>P6*50%</f>
        <v>23.5</v>
      </c>
      <c r="R6" s="102">
        <f t="shared" ref="R6:R17" si="3">I6</f>
        <v>24</v>
      </c>
      <c r="S6" s="102">
        <f t="shared" ref="S6:S17" si="4">O6+($R$36*P6)+(Q6*$R$37)+(R6*$R$38)</f>
        <v>284776.93185185181</v>
      </c>
      <c r="T6" s="128">
        <f t="shared" ref="T6:T17" si="5">(Q6*$O$34)*11</f>
        <v>25850</v>
      </c>
      <c r="U6" s="103">
        <f>S6+T6</f>
        <v>310626.93185185181</v>
      </c>
      <c r="V6" s="128"/>
    </row>
    <row r="7" spans="2:22" s="152" customFormat="1" ht="18.75" customHeight="1" x14ac:dyDescent="0.2">
      <c r="B7" s="146"/>
      <c r="C7" s="147" t="s">
        <v>17</v>
      </c>
      <c r="D7" s="114">
        <v>49</v>
      </c>
      <c r="E7" s="114">
        <v>48</v>
      </c>
      <c r="F7" s="148">
        <v>23</v>
      </c>
      <c r="G7" s="149">
        <v>0</v>
      </c>
      <c r="H7" s="146"/>
      <c r="I7" s="101">
        <v>17</v>
      </c>
      <c r="J7" s="102">
        <v>203588</v>
      </c>
      <c r="K7" s="102">
        <v>193406</v>
      </c>
      <c r="L7" s="128">
        <f t="shared" si="0"/>
        <v>0</v>
      </c>
      <c r="M7" s="103">
        <f t="shared" ref="M7:M17" si="6">K7+L7</f>
        <v>193406</v>
      </c>
      <c r="O7" s="150">
        <f t="shared" si="1"/>
        <v>70000</v>
      </c>
      <c r="P7" s="128">
        <f t="shared" si="2"/>
        <v>49</v>
      </c>
      <c r="Q7" s="128">
        <f t="shared" ref="Q7:Q17" si="7">P7*50%</f>
        <v>24.5</v>
      </c>
      <c r="R7" s="102">
        <f t="shared" si="3"/>
        <v>17</v>
      </c>
      <c r="S7" s="128">
        <f t="shared" si="4"/>
        <v>228181.3683950617</v>
      </c>
      <c r="T7" s="128">
        <f t="shared" si="5"/>
        <v>26950</v>
      </c>
      <c r="U7" s="151">
        <f t="shared" ref="U7:U9" si="8">S7+T7</f>
        <v>255131.3683950617</v>
      </c>
      <c r="V7" s="128"/>
    </row>
    <row r="8" spans="2:22" s="152" customFormat="1" ht="18.75" customHeight="1" x14ac:dyDescent="0.2">
      <c r="B8" s="146"/>
      <c r="C8" s="147" t="s">
        <v>4</v>
      </c>
      <c r="D8" s="114">
        <v>83</v>
      </c>
      <c r="E8" s="114">
        <v>72</v>
      </c>
      <c r="F8" s="148">
        <v>27</v>
      </c>
      <c r="G8" s="149">
        <v>0</v>
      </c>
      <c r="H8" s="146"/>
      <c r="I8" s="101">
        <v>24</v>
      </c>
      <c r="J8" s="102">
        <v>339918</v>
      </c>
      <c r="K8" s="102">
        <v>322917</v>
      </c>
      <c r="L8" s="128">
        <f t="shared" si="0"/>
        <v>0</v>
      </c>
      <c r="M8" s="103">
        <f t="shared" si="6"/>
        <v>322917</v>
      </c>
      <c r="O8" s="150">
        <f t="shared" si="1"/>
        <v>70000</v>
      </c>
      <c r="P8" s="128">
        <f t="shared" si="2"/>
        <v>83</v>
      </c>
      <c r="Q8" s="128">
        <f t="shared" si="7"/>
        <v>41.5</v>
      </c>
      <c r="R8" s="102">
        <f t="shared" si="3"/>
        <v>24</v>
      </c>
      <c r="S8" s="128">
        <f t="shared" si="4"/>
        <v>298636.93185185181</v>
      </c>
      <c r="T8" s="128">
        <f t="shared" si="5"/>
        <v>45650</v>
      </c>
      <c r="U8" s="151">
        <f t="shared" si="8"/>
        <v>344286.93185185181</v>
      </c>
      <c r="V8" s="128"/>
    </row>
    <row r="9" spans="2:22" s="152" customFormat="1" ht="18.75" customHeight="1" x14ac:dyDescent="0.2">
      <c r="B9" s="146"/>
      <c r="C9" s="147" t="s">
        <v>130</v>
      </c>
      <c r="D9" s="114">
        <v>58</v>
      </c>
      <c r="E9" s="114">
        <v>30</v>
      </c>
      <c r="F9" s="148">
        <v>12</v>
      </c>
      <c r="G9" s="149">
        <v>50</v>
      </c>
      <c r="H9" s="146"/>
      <c r="I9" s="101">
        <v>13</v>
      </c>
      <c r="J9" s="102">
        <v>202752</v>
      </c>
      <c r="K9" s="102">
        <v>192899</v>
      </c>
      <c r="L9" s="128">
        <f t="shared" si="0"/>
        <v>16500</v>
      </c>
      <c r="M9" s="103">
        <f t="shared" si="6"/>
        <v>209399</v>
      </c>
      <c r="O9" s="150">
        <f t="shared" si="1"/>
        <v>70000</v>
      </c>
      <c r="P9" s="128">
        <f t="shared" si="2"/>
        <v>58</v>
      </c>
      <c r="Q9" s="128">
        <f t="shared" si="7"/>
        <v>29</v>
      </c>
      <c r="R9" s="102">
        <f t="shared" si="3"/>
        <v>13</v>
      </c>
      <c r="S9" s="128">
        <f t="shared" si="4"/>
        <v>198866.04641975305</v>
      </c>
      <c r="T9" s="128">
        <f t="shared" si="5"/>
        <v>31900</v>
      </c>
      <c r="U9" s="151">
        <f t="shared" si="8"/>
        <v>230766.04641975305</v>
      </c>
      <c r="V9" s="128"/>
    </row>
    <row r="10" spans="2:22" s="152" customFormat="1" ht="18.75" customHeight="1" x14ac:dyDescent="0.2">
      <c r="B10" s="146"/>
      <c r="C10" s="147" t="s">
        <v>134</v>
      </c>
      <c r="D10" s="114">
        <v>49</v>
      </c>
      <c r="E10" s="114">
        <v>42</v>
      </c>
      <c r="F10" s="148">
        <v>16</v>
      </c>
      <c r="G10" s="153">
        <v>200</v>
      </c>
      <c r="H10" s="146"/>
      <c r="I10" s="101">
        <v>16</v>
      </c>
      <c r="J10" s="102">
        <v>202752</v>
      </c>
      <c r="K10" s="102">
        <v>192899</v>
      </c>
      <c r="L10" s="128">
        <f>(E10*G10)*2</f>
        <v>16800</v>
      </c>
      <c r="M10" s="103">
        <f t="shared" si="6"/>
        <v>209699</v>
      </c>
      <c r="O10" s="150">
        <f t="shared" si="1"/>
        <v>70000</v>
      </c>
      <c r="P10" s="128">
        <f t="shared" si="2"/>
        <v>49</v>
      </c>
      <c r="Q10" s="128">
        <f t="shared" si="7"/>
        <v>24.5</v>
      </c>
      <c r="R10" s="102">
        <f t="shared" si="3"/>
        <v>16</v>
      </c>
      <c r="S10" s="128">
        <f t="shared" si="4"/>
        <v>219986.28790123455</v>
      </c>
      <c r="T10" s="128">
        <f t="shared" si="5"/>
        <v>26950</v>
      </c>
      <c r="U10" s="151">
        <f t="shared" ref="U10:U12" si="9">S10+T10</f>
        <v>246936.28790123455</v>
      </c>
      <c r="V10" s="128"/>
    </row>
    <row r="11" spans="2:22" s="152" customFormat="1" ht="18.75" customHeight="1" x14ac:dyDescent="0.2">
      <c r="B11" s="146"/>
      <c r="C11" s="147" t="s">
        <v>135</v>
      </c>
      <c r="D11" s="114">
        <v>67</v>
      </c>
      <c r="E11" s="114">
        <v>34</v>
      </c>
      <c r="F11" s="148">
        <v>18</v>
      </c>
      <c r="G11" s="149">
        <v>0</v>
      </c>
      <c r="H11" s="146"/>
      <c r="I11" s="101">
        <v>20</v>
      </c>
      <c r="J11" s="102">
        <v>218781</v>
      </c>
      <c r="K11" s="102">
        <v>207839</v>
      </c>
      <c r="L11" s="128">
        <f>(E11*G11)*11</f>
        <v>0</v>
      </c>
      <c r="M11" s="103">
        <f t="shared" si="6"/>
        <v>207839</v>
      </c>
      <c r="O11" s="150">
        <f t="shared" si="1"/>
        <v>70000</v>
      </c>
      <c r="P11" s="128">
        <f t="shared" si="2"/>
        <v>67</v>
      </c>
      <c r="Q11" s="128">
        <f t="shared" si="7"/>
        <v>33.5</v>
      </c>
      <c r="R11" s="102">
        <f t="shared" si="3"/>
        <v>20</v>
      </c>
      <c r="S11" s="128">
        <f t="shared" si="4"/>
        <v>259696.6098765432</v>
      </c>
      <c r="T11" s="128">
        <f t="shared" si="5"/>
        <v>36850</v>
      </c>
      <c r="U11" s="151">
        <f t="shared" si="9"/>
        <v>296546.60987654317</v>
      </c>
      <c r="V11" s="128"/>
    </row>
    <row r="12" spans="2:22" s="152" customFormat="1" ht="18.75" customHeight="1" x14ac:dyDescent="0.2">
      <c r="B12" s="146"/>
      <c r="C12" s="147" t="s">
        <v>32</v>
      </c>
      <c r="D12" s="114">
        <v>174</v>
      </c>
      <c r="E12" s="114">
        <v>172</v>
      </c>
      <c r="F12" s="148">
        <v>37</v>
      </c>
      <c r="G12" s="149">
        <v>0</v>
      </c>
      <c r="H12" s="146"/>
      <c r="I12" s="101">
        <v>41</v>
      </c>
      <c r="J12" s="102">
        <v>483748</v>
      </c>
      <c r="K12" s="102">
        <v>459554</v>
      </c>
      <c r="L12" s="128">
        <f>(E12*G12)*11</f>
        <v>0</v>
      </c>
      <c r="M12" s="103">
        <f t="shared" si="6"/>
        <v>459554</v>
      </c>
      <c r="O12" s="150">
        <f t="shared" si="1"/>
        <v>70000</v>
      </c>
      <c r="P12" s="128">
        <f t="shared" si="2"/>
        <v>174</v>
      </c>
      <c r="Q12" s="128">
        <f t="shared" si="7"/>
        <v>87</v>
      </c>
      <c r="R12" s="102">
        <f t="shared" si="3"/>
        <v>41</v>
      </c>
      <c r="S12" s="128">
        <f t="shared" si="4"/>
        <v>472988.30024691351</v>
      </c>
      <c r="T12" s="128">
        <f t="shared" si="5"/>
        <v>95700</v>
      </c>
      <c r="U12" s="151">
        <f t="shared" si="9"/>
        <v>568688.30024691345</v>
      </c>
      <c r="V12" s="128"/>
    </row>
    <row r="13" spans="2:22" s="152" customFormat="1" ht="18.75" customHeight="1" x14ac:dyDescent="0.2">
      <c r="B13" s="146"/>
      <c r="C13" s="147" t="s">
        <v>136</v>
      </c>
      <c r="D13" s="114">
        <v>56</v>
      </c>
      <c r="E13" s="114">
        <v>39</v>
      </c>
      <c r="F13" s="148">
        <v>13</v>
      </c>
      <c r="G13" s="149">
        <v>80</v>
      </c>
      <c r="H13" s="146"/>
      <c r="I13" s="101">
        <v>17</v>
      </c>
      <c r="J13" s="102">
        <v>202752</v>
      </c>
      <c r="K13" s="102">
        <v>192899</v>
      </c>
      <c r="L13" s="128">
        <f>(E13*G13)*11</f>
        <v>34320</v>
      </c>
      <c r="M13" s="103">
        <f t="shared" si="6"/>
        <v>227219</v>
      </c>
      <c r="O13" s="150">
        <f t="shared" si="1"/>
        <v>70000</v>
      </c>
      <c r="P13" s="128">
        <f t="shared" si="2"/>
        <v>56</v>
      </c>
      <c r="Q13" s="128">
        <f t="shared" si="7"/>
        <v>28</v>
      </c>
      <c r="R13" s="102">
        <f t="shared" si="3"/>
        <v>17</v>
      </c>
      <c r="S13" s="128">
        <f t="shared" si="4"/>
        <v>230876.3683950617</v>
      </c>
      <c r="T13" s="128">
        <f t="shared" si="5"/>
        <v>30800</v>
      </c>
      <c r="U13" s="151">
        <f t="shared" ref="U13:U16" si="10">S13+T13</f>
        <v>261676.3683950617</v>
      </c>
      <c r="V13" s="128"/>
    </row>
    <row r="14" spans="2:22" s="152" customFormat="1" ht="18.75" customHeight="1" x14ac:dyDescent="0.2">
      <c r="B14" s="146"/>
      <c r="C14" s="147" t="s">
        <v>15</v>
      </c>
      <c r="D14" s="114">
        <v>50</v>
      </c>
      <c r="E14" s="114">
        <v>43</v>
      </c>
      <c r="F14" s="148">
        <v>30</v>
      </c>
      <c r="G14" s="149">
        <v>100</v>
      </c>
      <c r="H14" s="146"/>
      <c r="I14" s="101">
        <v>29</v>
      </c>
      <c r="J14" s="102">
        <v>356092</v>
      </c>
      <c r="K14" s="102">
        <v>338282</v>
      </c>
      <c r="L14" s="128">
        <f>(E14*G14)*11</f>
        <v>47300</v>
      </c>
      <c r="M14" s="103">
        <f t="shared" si="6"/>
        <v>385582</v>
      </c>
      <c r="O14" s="150">
        <f t="shared" si="1"/>
        <v>70000</v>
      </c>
      <c r="P14" s="128">
        <f t="shared" si="2"/>
        <v>50</v>
      </c>
      <c r="Q14" s="128">
        <f t="shared" si="7"/>
        <v>25</v>
      </c>
      <c r="R14" s="102">
        <f t="shared" si="3"/>
        <v>29</v>
      </c>
      <c r="S14" s="128">
        <f t="shared" si="4"/>
        <v>326907.33432098763</v>
      </c>
      <c r="T14" s="128">
        <f t="shared" si="5"/>
        <v>27500</v>
      </c>
      <c r="U14" s="151">
        <f t="shared" si="10"/>
        <v>354407.33432098763</v>
      </c>
      <c r="V14" s="128"/>
    </row>
    <row r="15" spans="2:22" s="152" customFormat="1" ht="18.75" customHeight="1" x14ac:dyDescent="0.2">
      <c r="B15" s="146"/>
      <c r="C15" s="147" t="s">
        <v>132</v>
      </c>
      <c r="D15" s="114">
        <v>64</v>
      </c>
      <c r="E15" s="114">
        <v>61</v>
      </c>
      <c r="F15" s="148">
        <v>24</v>
      </c>
      <c r="G15" s="153">
        <v>100</v>
      </c>
      <c r="H15" s="146"/>
      <c r="I15" s="101">
        <v>27</v>
      </c>
      <c r="J15" s="102">
        <v>246353</v>
      </c>
      <c r="K15" s="102">
        <v>234032</v>
      </c>
      <c r="L15" s="128">
        <f>(E15*G15)*2</f>
        <v>12200</v>
      </c>
      <c r="M15" s="103">
        <f t="shared" si="6"/>
        <v>246232</v>
      </c>
      <c r="O15" s="150">
        <f t="shared" si="1"/>
        <v>70000</v>
      </c>
      <c r="P15" s="128">
        <f t="shared" si="2"/>
        <v>64</v>
      </c>
      <c r="Q15" s="128">
        <f t="shared" si="7"/>
        <v>32</v>
      </c>
      <c r="R15" s="102">
        <f t="shared" si="3"/>
        <v>27</v>
      </c>
      <c r="S15" s="128">
        <f t="shared" si="4"/>
        <v>315907.17333333334</v>
      </c>
      <c r="T15" s="128">
        <f t="shared" si="5"/>
        <v>35200</v>
      </c>
      <c r="U15" s="151">
        <f t="shared" si="10"/>
        <v>351107.17333333334</v>
      </c>
      <c r="V15" s="128"/>
    </row>
    <row r="16" spans="2:22" s="152" customFormat="1" ht="18.75" customHeight="1" x14ac:dyDescent="0.2">
      <c r="B16" s="146"/>
      <c r="C16" s="147" t="s">
        <v>133</v>
      </c>
      <c r="D16" s="114">
        <v>59</v>
      </c>
      <c r="E16" s="114">
        <v>54</v>
      </c>
      <c r="F16" s="148">
        <v>20</v>
      </c>
      <c r="G16" s="149">
        <v>0</v>
      </c>
      <c r="H16" s="146"/>
      <c r="I16" s="101">
        <v>17</v>
      </c>
      <c r="J16" s="102">
        <v>202752</v>
      </c>
      <c r="K16" s="102">
        <v>192899</v>
      </c>
      <c r="L16" s="128">
        <f>(E16*G16)*11</f>
        <v>0</v>
      </c>
      <c r="M16" s="103">
        <f t="shared" si="6"/>
        <v>192899</v>
      </c>
      <c r="O16" s="150">
        <f t="shared" si="1"/>
        <v>70000</v>
      </c>
      <c r="P16" s="128">
        <f t="shared" si="2"/>
        <v>59</v>
      </c>
      <c r="Q16" s="128">
        <f t="shared" si="7"/>
        <v>29.5</v>
      </c>
      <c r="R16" s="102">
        <f t="shared" si="3"/>
        <v>17</v>
      </c>
      <c r="S16" s="128">
        <f t="shared" si="4"/>
        <v>232031.3683950617</v>
      </c>
      <c r="T16" s="128">
        <f t="shared" si="5"/>
        <v>32450</v>
      </c>
      <c r="U16" s="151">
        <f t="shared" si="10"/>
        <v>264481.3683950617</v>
      </c>
      <c r="V16" s="128"/>
    </row>
    <row r="17" spans="2:23" ht="18.75" customHeight="1" x14ac:dyDescent="0.2">
      <c r="B17" s="111"/>
      <c r="C17" s="112" t="s">
        <v>131</v>
      </c>
      <c r="D17" s="114">
        <v>61</v>
      </c>
      <c r="E17" s="114">
        <v>58</v>
      </c>
      <c r="F17" s="114">
        <v>26</v>
      </c>
      <c r="G17" s="120">
        <v>0</v>
      </c>
      <c r="H17" s="111"/>
      <c r="I17" s="101">
        <v>19</v>
      </c>
      <c r="J17" s="102">
        <v>235902</v>
      </c>
      <c r="K17" s="102">
        <v>224103</v>
      </c>
      <c r="L17" s="102">
        <f>(E17*G17)*11</f>
        <v>0</v>
      </c>
      <c r="M17" s="103">
        <f t="shared" si="6"/>
        <v>224103</v>
      </c>
      <c r="O17" s="101">
        <f t="shared" si="1"/>
        <v>70000</v>
      </c>
      <c r="P17" s="102">
        <f t="shared" si="2"/>
        <v>61</v>
      </c>
      <c r="Q17" s="102">
        <f t="shared" si="7"/>
        <v>30.5</v>
      </c>
      <c r="R17" s="102">
        <f t="shared" si="3"/>
        <v>19</v>
      </c>
      <c r="S17" s="102">
        <f t="shared" si="4"/>
        <v>249191.52938271602</v>
      </c>
      <c r="T17" s="128">
        <f t="shared" si="5"/>
        <v>33550</v>
      </c>
      <c r="U17" s="103">
        <f>S17+T17</f>
        <v>282741.52938271605</v>
      </c>
      <c r="V17" s="128"/>
    </row>
    <row r="18" spans="2:23" ht="18.75" customHeight="1" x14ac:dyDescent="0.2">
      <c r="B18" s="111"/>
      <c r="C18" s="155" t="s">
        <v>116</v>
      </c>
      <c r="D18" s="114"/>
      <c r="E18" s="114"/>
      <c r="F18" s="117"/>
      <c r="G18" s="120"/>
      <c r="H18" s="111"/>
      <c r="I18" s="101"/>
      <c r="J18" s="102"/>
      <c r="K18" s="102"/>
      <c r="L18" s="102"/>
      <c r="M18" s="103"/>
      <c r="N18" s="111"/>
      <c r="O18" s="101"/>
      <c r="P18" s="156"/>
      <c r="Q18" s="156"/>
      <c r="R18" s="156"/>
      <c r="S18" s="156"/>
      <c r="T18" s="156"/>
      <c r="U18" s="157"/>
      <c r="V18" s="102"/>
      <c r="W18" s="128"/>
    </row>
    <row r="19" spans="2:23" ht="18.75" customHeight="1" x14ac:dyDescent="0.2">
      <c r="B19" s="111"/>
      <c r="C19" s="155" t="s">
        <v>19</v>
      </c>
      <c r="D19" s="158">
        <v>213</v>
      </c>
      <c r="E19" s="158"/>
      <c r="F19" s="117"/>
      <c r="G19" s="120"/>
      <c r="H19" s="111"/>
      <c r="I19" s="101"/>
      <c r="J19" s="102"/>
      <c r="K19" s="102"/>
      <c r="L19" s="102"/>
      <c r="M19" s="103"/>
      <c r="N19" s="111"/>
      <c r="O19" s="101"/>
      <c r="P19" s="156"/>
      <c r="Q19" s="156"/>
      <c r="R19" s="156"/>
      <c r="S19" s="156"/>
      <c r="T19" s="156"/>
      <c r="U19" s="157"/>
      <c r="V19" s="102"/>
      <c r="W19" s="128"/>
    </row>
    <row r="20" spans="2:23" ht="18.75" customHeight="1" x14ac:dyDescent="0.2">
      <c r="B20" s="111"/>
      <c r="C20" s="155" t="s">
        <v>107</v>
      </c>
      <c r="D20" s="158">
        <v>112</v>
      </c>
      <c r="E20" s="158"/>
      <c r="F20" s="117"/>
      <c r="G20" s="120"/>
      <c r="H20" s="111"/>
      <c r="I20" s="101"/>
      <c r="J20" s="102"/>
      <c r="K20" s="102"/>
      <c r="L20" s="102"/>
      <c r="M20" s="103"/>
      <c r="N20" s="111"/>
      <c r="O20" s="101"/>
      <c r="P20" s="156"/>
      <c r="Q20" s="156"/>
      <c r="R20" s="156"/>
      <c r="S20" s="156"/>
      <c r="T20" s="156"/>
      <c r="U20" s="157"/>
      <c r="V20" s="102"/>
      <c r="W20" s="128"/>
    </row>
    <row r="21" spans="2:23" ht="18.75" customHeight="1" x14ac:dyDescent="0.2">
      <c r="B21" s="111"/>
      <c r="C21" s="155" t="s">
        <v>108</v>
      </c>
      <c r="D21" s="158">
        <v>40</v>
      </c>
      <c r="E21" s="158"/>
      <c r="F21" s="117"/>
      <c r="G21" s="120"/>
      <c r="H21" s="111"/>
      <c r="I21" s="101"/>
      <c r="J21" s="102"/>
      <c r="K21" s="102"/>
      <c r="L21" s="102"/>
      <c r="M21" s="103"/>
      <c r="N21" s="111"/>
      <c r="O21" s="101"/>
      <c r="P21" s="156"/>
      <c r="Q21" s="156"/>
      <c r="R21" s="156"/>
      <c r="S21" s="156"/>
      <c r="T21" s="156"/>
      <c r="U21" s="157"/>
      <c r="V21" s="102"/>
      <c r="W21" s="128"/>
    </row>
    <row r="22" spans="2:23" ht="18.75" customHeight="1" x14ac:dyDescent="0.2">
      <c r="B22" s="111"/>
      <c r="C22" s="155" t="s">
        <v>122</v>
      </c>
      <c r="D22" s="158"/>
      <c r="E22" s="158"/>
      <c r="F22" s="117"/>
      <c r="G22" s="120"/>
      <c r="H22" s="111"/>
      <c r="I22" s="101"/>
      <c r="J22" s="102"/>
      <c r="K22" s="102"/>
      <c r="L22" s="102"/>
      <c r="M22" s="103"/>
      <c r="N22" s="110"/>
      <c r="O22" s="101"/>
      <c r="P22" s="156"/>
      <c r="Q22" s="156"/>
      <c r="R22" s="156"/>
      <c r="S22" s="156"/>
      <c r="T22" s="156"/>
      <c r="U22" s="157"/>
      <c r="V22" s="102"/>
      <c r="W22" s="128"/>
    </row>
    <row r="23" spans="2:23" s="152" customFormat="1" ht="18.75" customHeight="1" x14ac:dyDescent="0.2">
      <c r="B23" s="146"/>
      <c r="C23" s="167" t="s">
        <v>5</v>
      </c>
      <c r="D23" s="114">
        <v>143</v>
      </c>
      <c r="E23" s="114">
        <v>119</v>
      </c>
      <c r="F23" s="148">
        <v>27</v>
      </c>
      <c r="G23" s="149">
        <v>0</v>
      </c>
      <c r="H23" s="146"/>
      <c r="I23" s="101">
        <v>26</v>
      </c>
      <c r="J23" s="102">
        <v>237893</v>
      </c>
      <c r="K23" s="102">
        <v>225994</v>
      </c>
      <c r="L23" s="128">
        <f>(E23*G23)*11</f>
        <v>0</v>
      </c>
      <c r="M23" s="103">
        <f>K23+L23</f>
        <v>225994</v>
      </c>
      <c r="O23" s="150"/>
      <c r="P23" s="128"/>
      <c r="Q23" s="128"/>
      <c r="R23" s="102"/>
      <c r="S23" s="128"/>
      <c r="T23" s="128"/>
      <c r="U23" s="151"/>
      <c r="V23" s="128"/>
    </row>
    <row r="24" spans="2:23" s="152" customFormat="1" ht="18.75" customHeight="1" x14ac:dyDescent="0.2">
      <c r="B24" s="146"/>
      <c r="C24" s="167" t="s">
        <v>13</v>
      </c>
      <c r="D24" s="114">
        <v>81</v>
      </c>
      <c r="E24" s="114">
        <v>31</v>
      </c>
      <c r="F24" s="148">
        <v>13</v>
      </c>
      <c r="G24" s="149">
        <v>200</v>
      </c>
      <c r="H24" s="146"/>
      <c r="I24" s="101">
        <v>16</v>
      </c>
      <c r="J24" s="102">
        <v>202752</v>
      </c>
      <c r="K24" s="102">
        <v>192899</v>
      </c>
      <c r="L24" s="128">
        <f>(E24*G24)*11</f>
        <v>68200</v>
      </c>
      <c r="M24" s="103">
        <f>K24+L24</f>
        <v>261099</v>
      </c>
      <c r="O24" s="150"/>
      <c r="P24" s="128"/>
      <c r="Q24" s="128"/>
      <c r="R24" s="102"/>
      <c r="S24" s="128"/>
      <c r="T24" s="128"/>
      <c r="U24" s="151"/>
      <c r="V24" s="128"/>
    </row>
    <row r="25" spans="2:23" s="152" customFormat="1" ht="18.75" customHeight="1" x14ac:dyDescent="0.2">
      <c r="B25" s="146"/>
      <c r="C25" s="167" t="s">
        <v>20</v>
      </c>
      <c r="D25" s="114">
        <v>34</v>
      </c>
      <c r="E25" s="114">
        <v>32</v>
      </c>
      <c r="F25" s="148">
        <v>21</v>
      </c>
      <c r="G25" s="149">
        <v>0</v>
      </c>
      <c r="H25" s="146"/>
      <c r="I25" s="101">
        <v>10</v>
      </c>
      <c r="J25" s="102">
        <v>202752</v>
      </c>
      <c r="K25" s="102">
        <v>192899</v>
      </c>
      <c r="L25" s="128">
        <f>(E25*G25)*11</f>
        <v>0</v>
      </c>
      <c r="M25" s="103">
        <f>K25+L25</f>
        <v>192899</v>
      </c>
      <c r="O25" s="150"/>
      <c r="P25" s="128"/>
      <c r="Q25" s="128"/>
      <c r="R25" s="102"/>
      <c r="S25" s="128"/>
      <c r="T25" s="128"/>
      <c r="U25" s="151"/>
      <c r="V25" s="128"/>
    </row>
    <row r="26" spans="2:23" ht="6.75" customHeight="1" x14ac:dyDescent="0.2">
      <c r="B26" s="111"/>
      <c r="C26" s="112"/>
      <c r="D26" s="114"/>
      <c r="E26" s="114"/>
      <c r="F26" s="114"/>
      <c r="G26" s="120"/>
      <c r="H26" s="111"/>
      <c r="I26" s="101"/>
      <c r="J26" s="102"/>
      <c r="K26" s="102"/>
      <c r="L26" s="102"/>
      <c r="M26" s="103"/>
      <c r="O26" s="101"/>
      <c r="P26" s="102"/>
      <c r="Q26" s="102"/>
      <c r="R26" s="102"/>
      <c r="S26" s="102"/>
      <c r="T26" s="102"/>
      <c r="U26" s="103"/>
      <c r="V26" s="128"/>
    </row>
    <row r="27" spans="2:23" ht="18.75" customHeight="1" x14ac:dyDescent="0.2">
      <c r="B27" s="173" t="s">
        <v>35</v>
      </c>
      <c r="C27" s="174"/>
      <c r="D27" s="115">
        <f>SUM(D6:D26)</f>
        <v>1440</v>
      </c>
      <c r="E27" s="115">
        <f>SUM(E6:E17)</f>
        <v>700</v>
      </c>
      <c r="F27" s="115">
        <f>SUM(F6:F17)</f>
        <v>263</v>
      </c>
      <c r="G27" s="125"/>
      <c r="H27" s="111"/>
      <c r="I27" s="124">
        <f>SUM(I6:I26)</f>
        <v>316</v>
      </c>
      <c r="J27" s="134">
        <f>SUM(J6:J26)</f>
        <v>3786832</v>
      </c>
      <c r="K27" s="134">
        <f>SUM(K6:K26)</f>
        <v>3599160</v>
      </c>
      <c r="L27" s="134">
        <f>SUM(L6:L26)</f>
        <v>195320</v>
      </c>
      <c r="M27" s="126">
        <f>SUM(M6:M26)</f>
        <v>3794480</v>
      </c>
      <c r="O27" s="124">
        <f t="shared" ref="O27:U27" si="11">SUM(O6:O26)</f>
        <v>840000</v>
      </c>
      <c r="P27" s="136">
        <f t="shared" si="11"/>
        <v>817</v>
      </c>
      <c r="Q27" s="134">
        <f t="shared" si="11"/>
        <v>408.5</v>
      </c>
      <c r="R27" s="134">
        <f t="shared" si="11"/>
        <v>264</v>
      </c>
      <c r="S27" s="134">
        <f t="shared" si="11"/>
        <v>3318046.2503703702</v>
      </c>
      <c r="T27" s="134">
        <f t="shared" si="11"/>
        <v>449350</v>
      </c>
      <c r="U27" s="126">
        <f t="shared" si="11"/>
        <v>3767396.2503703698</v>
      </c>
      <c r="V27" s="128"/>
    </row>
    <row r="28" spans="2:23" ht="6" customHeight="1" x14ac:dyDescent="0.2">
      <c r="B28" s="111"/>
      <c r="C28" s="110"/>
      <c r="D28" s="114"/>
      <c r="E28" s="114"/>
      <c r="F28" s="114"/>
      <c r="G28" s="120"/>
      <c r="H28" s="111"/>
      <c r="I28" s="101"/>
      <c r="J28" s="102"/>
      <c r="K28" s="102"/>
      <c r="L28" s="102"/>
      <c r="M28" s="103"/>
      <c r="O28" s="101"/>
      <c r="P28" s="102"/>
      <c r="Q28" s="102"/>
      <c r="R28" s="102"/>
      <c r="S28" s="102"/>
      <c r="T28" s="102"/>
      <c r="U28" s="103"/>
      <c r="V28" s="128"/>
    </row>
    <row r="29" spans="2:23" ht="18.75" customHeight="1" x14ac:dyDescent="0.2">
      <c r="B29" s="111"/>
      <c r="C29" s="112" t="s">
        <v>77</v>
      </c>
      <c r="D29" s="114">
        <v>172</v>
      </c>
      <c r="E29" s="114">
        <v>159</v>
      </c>
      <c r="F29" s="114">
        <v>140</v>
      </c>
      <c r="G29" s="120">
        <v>515</v>
      </c>
      <c r="H29" s="111"/>
      <c r="I29" s="101">
        <v>141</v>
      </c>
      <c r="J29" s="102">
        <v>1685951</v>
      </c>
      <c r="K29" s="102">
        <v>1601629</v>
      </c>
      <c r="L29" s="102">
        <f>$E$29*$G$29*11</f>
        <v>900735</v>
      </c>
      <c r="M29" s="103">
        <f>J29+L29</f>
        <v>2586686</v>
      </c>
      <c r="O29" s="101">
        <f>$R$39*2</f>
        <v>140000</v>
      </c>
      <c r="P29" s="102">
        <f>D29</f>
        <v>172</v>
      </c>
      <c r="Q29" s="102">
        <f>E29</f>
        <v>159</v>
      </c>
      <c r="R29" s="102">
        <f>I29</f>
        <v>141</v>
      </c>
      <c r="S29" s="102">
        <f>O29+($R$36*P29)+(Q29*$R$37)+(R29*$R$38)</f>
        <v>1361726.3496296294</v>
      </c>
      <c r="T29" s="102">
        <f>Q29*$G$29*11</f>
        <v>900735</v>
      </c>
      <c r="U29" s="103">
        <f>S29+T29</f>
        <v>2262461.3496296294</v>
      </c>
      <c r="V29" s="128"/>
    </row>
    <row r="30" spans="2:23" ht="6" customHeight="1" x14ac:dyDescent="0.2">
      <c r="B30" s="111"/>
      <c r="C30" s="112"/>
      <c r="D30" s="114"/>
      <c r="E30" s="114"/>
      <c r="F30" s="114"/>
      <c r="G30" s="117"/>
      <c r="H30" s="111"/>
      <c r="I30" s="101"/>
      <c r="J30" s="102"/>
      <c r="K30" s="102"/>
      <c r="L30" s="102"/>
      <c r="M30" s="103"/>
      <c r="O30" s="101"/>
      <c r="P30" s="102"/>
      <c r="Q30" s="102"/>
      <c r="R30" s="102"/>
      <c r="S30" s="102"/>
      <c r="T30" s="102"/>
      <c r="U30" s="103"/>
      <c r="V30" s="128"/>
    </row>
    <row r="31" spans="2:23" ht="18.75" customHeight="1" thickBot="1" x14ac:dyDescent="0.25">
      <c r="B31" s="175" t="s">
        <v>76</v>
      </c>
      <c r="C31" s="176"/>
      <c r="D31" s="116">
        <f>SUM(D27:D30)</f>
        <v>1612</v>
      </c>
      <c r="E31" s="116">
        <f t="shared" ref="E31:F31" si="12">SUM(E27:E30)</f>
        <v>859</v>
      </c>
      <c r="F31" s="116">
        <f t="shared" si="12"/>
        <v>403</v>
      </c>
      <c r="G31" s="130"/>
      <c r="H31" s="111"/>
      <c r="I31" s="122">
        <f>SUM(I27:I30)</f>
        <v>457</v>
      </c>
      <c r="J31" s="123">
        <f>SUM(J27:J30)</f>
        <v>5472783</v>
      </c>
      <c r="K31" s="123">
        <f>SUM(K27:K30)</f>
        <v>5200789</v>
      </c>
      <c r="L31" s="123">
        <f>SUM(L27:L30)</f>
        <v>1096055</v>
      </c>
      <c r="M31" s="127">
        <f>SUM(M27:M30)</f>
        <v>6381166</v>
      </c>
      <c r="O31" s="122">
        <f t="shared" ref="O31:U31" si="13">SUM(O27:O30)</f>
        <v>980000</v>
      </c>
      <c r="P31" s="123">
        <f>SUM(P27:P29)</f>
        <v>989</v>
      </c>
      <c r="Q31" s="123">
        <f t="shared" si="13"/>
        <v>567.5</v>
      </c>
      <c r="R31" s="123">
        <f t="shared" si="13"/>
        <v>405</v>
      </c>
      <c r="S31" s="123">
        <f t="shared" si="13"/>
        <v>4679772.5999999996</v>
      </c>
      <c r="T31" s="123">
        <f t="shared" si="13"/>
        <v>1350085</v>
      </c>
      <c r="U31" s="127">
        <f t="shared" si="13"/>
        <v>6029857.5999999996</v>
      </c>
      <c r="V31" s="128"/>
    </row>
    <row r="32" spans="2:23" ht="11.25" customHeight="1" thickTop="1" x14ac:dyDescent="0.2">
      <c r="B32" s="137"/>
      <c r="C32" s="137"/>
      <c r="D32" s="114"/>
      <c r="E32" s="114"/>
      <c r="F32" s="114"/>
      <c r="G32" s="117"/>
      <c r="H32" s="110"/>
      <c r="I32" s="102"/>
      <c r="J32" s="102"/>
      <c r="K32" s="102"/>
      <c r="L32" s="102"/>
      <c r="M32" s="128"/>
      <c r="O32" s="102"/>
      <c r="P32" s="102"/>
      <c r="Q32" s="102"/>
      <c r="R32" s="102"/>
      <c r="S32" s="102"/>
      <c r="T32" s="102"/>
      <c r="U32" s="128"/>
      <c r="V32" s="128"/>
    </row>
    <row r="33" spans="3:22" x14ac:dyDescent="0.2">
      <c r="C33" s="108"/>
      <c r="D33" s="1"/>
      <c r="I33" s="106"/>
      <c r="J33" s="104" t="s">
        <v>93</v>
      </c>
      <c r="K33" s="104"/>
      <c r="L33" s="104"/>
      <c r="M33" s="104"/>
      <c r="Q33" s="104"/>
      <c r="R33" s="104"/>
      <c r="S33" s="104"/>
      <c r="T33" s="104"/>
      <c r="U33" s="104"/>
      <c r="V33" s="141"/>
    </row>
    <row r="34" spans="3:22" x14ac:dyDescent="0.2">
      <c r="I34" s="106">
        <f>J9</f>
        <v>202752</v>
      </c>
      <c r="J34" s="104" t="s">
        <v>92</v>
      </c>
      <c r="K34" s="104"/>
      <c r="L34" s="104"/>
      <c r="M34" s="104"/>
      <c r="O34" s="105">
        <v>100</v>
      </c>
      <c r="P34" s="104" t="s">
        <v>94</v>
      </c>
      <c r="Q34" s="104"/>
      <c r="R34" s="104"/>
      <c r="S34" s="104"/>
      <c r="U34" s="104"/>
      <c r="V34" s="141"/>
    </row>
    <row r="35" spans="3:22" x14ac:dyDescent="0.2">
      <c r="I35" s="105">
        <v>11944</v>
      </c>
      <c r="J35" s="169" t="s">
        <v>74</v>
      </c>
      <c r="K35" s="169"/>
      <c r="L35" s="169"/>
      <c r="M35" s="169"/>
      <c r="O35" s="105">
        <f>D60</f>
        <v>4679772.5999999996</v>
      </c>
      <c r="P35" s="166" t="s">
        <v>128</v>
      </c>
      <c r="Q35" s="143"/>
      <c r="R35" s="143"/>
      <c r="V35" s="142"/>
    </row>
    <row r="36" spans="3:22" x14ac:dyDescent="0.2">
      <c r="I36" s="105">
        <f>I31</f>
        <v>457</v>
      </c>
      <c r="J36" s="169" t="s">
        <v>95</v>
      </c>
      <c r="K36" s="169"/>
      <c r="L36" s="169"/>
      <c r="M36" s="169"/>
      <c r="O36" s="106">
        <f>R36*P31</f>
        <v>380765</v>
      </c>
      <c r="P36" s="133" t="s">
        <v>99</v>
      </c>
      <c r="Q36" s="105"/>
      <c r="R36" s="135">
        <v>385</v>
      </c>
      <c r="S36" s="97" t="s">
        <v>97</v>
      </c>
      <c r="V36" s="142"/>
    </row>
    <row r="37" spans="3:22" x14ac:dyDescent="0.2">
      <c r="I37" s="105">
        <f>$D$51</f>
        <v>5476788.5999999996</v>
      </c>
      <c r="J37" s="169" t="s">
        <v>96</v>
      </c>
      <c r="K37" s="169"/>
      <c r="L37" s="169"/>
      <c r="M37" s="169"/>
      <c r="O37" s="106">
        <v>0</v>
      </c>
      <c r="P37" s="133" t="s">
        <v>90</v>
      </c>
      <c r="Q37" s="105"/>
      <c r="R37" s="105">
        <f>O37/Q31</f>
        <v>0</v>
      </c>
      <c r="S37" s="97" t="s">
        <v>97</v>
      </c>
      <c r="V37" s="142"/>
    </row>
    <row r="38" spans="3:22" x14ac:dyDescent="0.2">
      <c r="I38" s="161">
        <f>D54</f>
        <v>5200788.5999999996</v>
      </c>
      <c r="J38" s="168" t="s">
        <v>115</v>
      </c>
      <c r="K38" s="168"/>
      <c r="L38" s="168"/>
      <c r="M38" s="168"/>
      <c r="O38" s="106">
        <f>O35-O36-O37-O39</f>
        <v>3319007.5999999996</v>
      </c>
      <c r="P38" s="133" t="s">
        <v>100</v>
      </c>
      <c r="Q38" s="133"/>
      <c r="R38" s="105">
        <f>O38/R31</f>
        <v>8195.0804938271594</v>
      </c>
      <c r="S38" s="97" t="s">
        <v>97</v>
      </c>
      <c r="V38" s="142"/>
    </row>
    <row r="39" spans="3:22" x14ac:dyDescent="0.2">
      <c r="I39" s="161">
        <f>I40*17</f>
        <v>192899</v>
      </c>
      <c r="J39" s="162" t="s">
        <v>92</v>
      </c>
      <c r="K39" s="162"/>
      <c r="L39" s="162"/>
      <c r="M39" s="162"/>
      <c r="O39" s="106">
        <f>R39*14</f>
        <v>980000</v>
      </c>
      <c r="P39" s="106" t="s">
        <v>85</v>
      </c>
      <c r="R39" s="105">
        <v>70000</v>
      </c>
      <c r="S39" s="133" t="s">
        <v>88</v>
      </c>
      <c r="U39" s="135"/>
      <c r="V39" s="142"/>
    </row>
    <row r="40" spans="3:22" x14ac:dyDescent="0.2">
      <c r="I40" s="163">
        <f>11944-597</f>
        <v>11347</v>
      </c>
      <c r="J40" s="168" t="s">
        <v>74</v>
      </c>
      <c r="K40" s="168"/>
      <c r="L40" s="168"/>
      <c r="M40" s="168"/>
      <c r="O40" s="104"/>
      <c r="P40" s="104"/>
      <c r="Q40" s="104"/>
      <c r="R40" s="104"/>
      <c r="S40" s="104"/>
      <c r="T40" s="104"/>
      <c r="U40" s="104"/>
      <c r="V40" s="141"/>
    </row>
    <row r="41" spans="3:22" hidden="1" x14ac:dyDescent="0.2">
      <c r="C41" s="108" t="s">
        <v>40</v>
      </c>
      <c r="D41" s="1">
        <f>11311*1.0131*1.0095*1.0213*1.011</f>
        <v>11944.394215846884</v>
      </c>
      <c r="I41" s="104"/>
      <c r="J41" s="104"/>
      <c r="K41" s="104"/>
      <c r="L41" s="104"/>
      <c r="M41" s="104"/>
      <c r="O41" s="104"/>
      <c r="P41" s="104"/>
      <c r="Q41" s="104"/>
      <c r="R41" s="104"/>
      <c r="S41" s="104"/>
      <c r="T41" s="104"/>
      <c r="U41" s="104"/>
      <c r="V41" s="141"/>
    </row>
    <row r="42" spans="3:22" hidden="1" x14ac:dyDescent="0.2">
      <c r="D42" s="1"/>
      <c r="I42" s="104"/>
      <c r="J42" s="104"/>
      <c r="K42" s="104"/>
      <c r="L42" s="104"/>
      <c r="M42" s="104"/>
      <c r="O42" s="104"/>
      <c r="P42" s="104"/>
      <c r="Q42" s="104"/>
      <c r="R42" s="104"/>
      <c r="S42" s="104"/>
      <c r="T42" s="104"/>
      <c r="U42" s="104"/>
      <c r="V42" s="141"/>
    </row>
    <row r="43" spans="3:22" hidden="1" x14ac:dyDescent="0.2">
      <c r="C43" s="108" t="s">
        <v>41</v>
      </c>
      <c r="D43" s="1">
        <f>192000*1.0131*1.0095*1.0213*1.011</f>
        <v>202751.63022213793</v>
      </c>
      <c r="E43" s="129" t="s">
        <v>84</v>
      </c>
      <c r="I43" s="104"/>
      <c r="J43" s="104"/>
      <c r="K43" s="104"/>
      <c r="L43" s="104"/>
      <c r="M43" s="104"/>
      <c r="O43" s="104"/>
      <c r="P43" s="104"/>
      <c r="Q43" s="104"/>
      <c r="R43" s="104"/>
      <c r="S43" s="104"/>
      <c r="T43" s="104"/>
      <c r="U43" s="104"/>
      <c r="V43" s="141"/>
    </row>
    <row r="44" spans="3:22" hidden="1" x14ac:dyDescent="0.2">
      <c r="D44" s="1"/>
      <c r="I44" s="104"/>
      <c r="J44" s="104"/>
      <c r="K44" s="104"/>
      <c r="L44" s="104"/>
      <c r="M44" s="104"/>
      <c r="O44" s="104"/>
      <c r="P44" s="104"/>
      <c r="Q44" s="104"/>
      <c r="R44" s="104"/>
      <c r="S44" s="104"/>
      <c r="T44" s="104"/>
      <c r="U44" s="104"/>
      <c r="V44" s="141"/>
    </row>
    <row r="45" spans="3:22" hidden="1" x14ac:dyDescent="0.2">
      <c r="D45" s="1"/>
      <c r="I45" s="104"/>
      <c r="J45" s="104"/>
      <c r="K45" s="104"/>
      <c r="L45" s="104"/>
      <c r="M45" s="104"/>
      <c r="O45" s="104"/>
      <c r="P45" s="104"/>
      <c r="Q45" s="104"/>
      <c r="R45" s="104"/>
      <c r="S45" s="104"/>
      <c r="T45" s="104"/>
      <c r="U45" s="104"/>
      <c r="V45" s="141"/>
    </row>
    <row r="46" spans="3:22" hidden="1" x14ac:dyDescent="0.2">
      <c r="C46" s="121" t="s">
        <v>48</v>
      </c>
      <c r="D46" s="1"/>
      <c r="I46" s="104"/>
      <c r="J46" s="104"/>
      <c r="K46" s="104"/>
      <c r="L46" s="104"/>
      <c r="M46" s="104"/>
      <c r="O46" s="104"/>
      <c r="P46" s="104"/>
      <c r="Q46" s="104"/>
      <c r="R46" s="104"/>
      <c r="S46" s="104"/>
      <c r="T46" s="104"/>
      <c r="U46" s="104"/>
      <c r="V46" s="141"/>
    </row>
    <row r="47" spans="3:22" hidden="1" x14ac:dyDescent="0.2">
      <c r="C47" s="71" t="s">
        <v>1</v>
      </c>
      <c r="D47" s="1">
        <f>6072299+263209</f>
        <v>6335508</v>
      </c>
      <c r="I47" s="104"/>
      <c r="J47" s="104"/>
      <c r="K47" s="104"/>
      <c r="L47" s="104"/>
      <c r="M47" s="104"/>
      <c r="O47" s="104"/>
      <c r="P47" s="104"/>
      <c r="Q47" s="104"/>
      <c r="R47" s="104"/>
      <c r="S47" s="104"/>
      <c r="T47" s="104"/>
      <c r="U47" s="104"/>
      <c r="V47" s="141"/>
    </row>
    <row r="48" spans="3:22" hidden="1" x14ac:dyDescent="0.2">
      <c r="C48" s="71" t="s">
        <v>80</v>
      </c>
      <c r="D48" s="1">
        <v>0</v>
      </c>
      <c r="I48" s="104"/>
      <c r="J48" s="104"/>
      <c r="K48" s="104"/>
      <c r="L48" s="104"/>
      <c r="M48" s="104"/>
      <c r="O48" s="104"/>
      <c r="P48" s="104"/>
      <c r="Q48" s="104"/>
      <c r="R48" s="104"/>
      <c r="S48" s="104"/>
      <c r="T48" s="104"/>
      <c r="U48" s="104"/>
      <c r="V48" s="141"/>
    </row>
    <row r="49" spans="3:24" hidden="1" x14ac:dyDescent="0.2">
      <c r="C49" s="71" t="s">
        <v>81</v>
      </c>
      <c r="D49" s="1">
        <v>-631701</v>
      </c>
      <c r="I49" s="104"/>
      <c r="J49" s="104"/>
      <c r="K49" s="104"/>
      <c r="L49" s="104"/>
      <c r="M49" s="104"/>
      <c r="O49" s="104"/>
      <c r="P49" s="104"/>
      <c r="Q49" s="104"/>
      <c r="R49" s="104"/>
      <c r="S49" s="104"/>
      <c r="T49" s="104"/>
      <c r="U49" s="104"/>
      <c r="V49" s="141"/>
    </row>
    <row r="50" spans="3:24" hidden="1" x14ac:dyDescent="0.2">
      <c r="C50" s="159" t="s">
        <v>111</v>
      </c>
      <c r="D50" s="1">
        <f>(-96261/5*12)+4008</f>
        <v>-227018.40000000002</v>
      </c>
      <c r="F50" s="109"/>
      <c r="G50"/>
      <c r="H50" s="109"/>
      <c r="I50" s="109"/>
      <c r="J50"/>
      <c r="K50"/>
      <c r="N50" s="97"/>
      <c r="P50"/>
      <c r="V50" s="97"/>
      <c r="W50" s="97"/>
      <c r="X50" s="138"/>
    </row>
    <row r="51" spans="3:24" ht="13.5" hidden="1" thickBot="1" x14ac:dyDescent="0.25">
      <c r="C51" s="108" t="s">
        <v>82</v>
      </c>
      <c r="D51" s="2">
        <f>SUM(D47:D50)</f>
        <v>5476788.5999999996</v>
      </c>
      <c r="F51" s="109"/>
      <c r="G51"/>
      <c r="H51" s="109"/>
      <c r="I51" s="109"/>
      <c r="J51"/>
      <c r="K51"/>
      <c r="N51" s="97"/>
      <c r="P51"/>
      <c r="V51" s="97"/>
      <c r="W51" s="97"/>
      <c r="X51" s="138"/>
    </row>
    <row r="52" spans="3:24" ht="13.5" hidden="1" thickTop="1" x14ac:dyDescent="0.2">
      <c r="C52" s="108"/>
      <c r="D52" s="160"/>
      <c r="F52" s="109"/>
      <c r="G52"/>
      <c r="H52" s="109"/>
      <c r="I52" s="109"/>
      <c r="J52"/>
      <c r="K52"/>
      <c r="N52" s="97"/>
      <c r="P52"/>
      <c r="V52" s="97"/>
      <c r="W52" s="97"/>
      <c r="X52" s="138"/>
    </row>
    <row r="53" spans="3:24" hidden="1" x14ac:dyDescent="0.2">
      <c r="C53" s="131" t="s">
        <v>112</v>
      </c>
      <c r="D53" s="1">
        <v>-276000</v>
      </c>
      <c r="F53" s="109"/>
      <c r="G53"/>
      <c r="H53" s="109"/>
      <c r="I53" s="109"/>
      <c r="J53"/>
      <c r="K53"/>
      <c r="N53" s="97"/>
      <c r="P53"/>
      <c r="V53" s="97"/>
      <c r="W53" s="97"/>
      <c r="X53" s="138"/>
    </row>
    <row r="54" spans="3:24" hidden="1" x14ac:dyDescent="0.2">
      <c r="C54" s="108" t="s">
        <v>113</v>
      </c>
      <c r="D54" s="132">
        <f>SUM(D51:D53)</f>
        <v>5200788.5999999996</v>
      </c>
      <c r="F54" s="109"/>
      <c r="G54"/>
      <c r="H54" s="109"/>
      <c r="I54" s="109"/>
      <c r="J54"/>
      <c r="K54"/>
      <c r="N54" s="97"/>
      <c r="P54"/>
      <c r="V54" s="97"/>
      <c r="W54" s="97"/>
      <c r="X54" s="138"/>
    </row>
    <row r="55" spans="3:24" hidden="1" x14ac:dyDescent="0.2">
      <c r="C55" s="159" t="s">
        <v>123</v>
      </c>
      <c r="D55" s="132"/>
      <c r="F55" s="109"/>
      <c r="G55"/>
      <c r="H55" s="109"/>
      <c r="I55" s="109"/>
      <c r="J55"/>
      <c r="N55" s="97"/>
      <c r="P55"/>
      <c r="V55" s="97"/>
      <c r="W55" s="97"/>
      <c r="X55" s="138"/>
    </row>
    <row r="56" spans="3:24" hidden="1" x14ac:dyDescent="0.2">
      <c r="C56" s="159" t="s">
        <v>124</v>
      </c>
      <c r="D56" s="132"/>
      <c r="F56" s="109"/>
      <c r="G56"/>
      <c r="H56" s="109"/>
      <c r="I56" s="109"/>
      <c r="J56"/>
      <c r="N56" s="97"/>
      <c r="P56"/>
      <c r="V56" s="97"/>
      <c r="W56" s="97"/>
      <c r="X56" s="138"/>
    </row>
    <row r="57" spans="3:24" hidden="1" x14ac:dyDescent="0.2">
      <c r="C57" s="106" t="s">
        <v>125</v>
      </c>
      <c r="D57" s="106">
        <v>-225994</v>
      </c>
      <c r="F57" s="109"/>
      <c r="G57"/>
      <c r="H57" s="109"/>
      <c r="I57" s="109"/>
      <c r="J57"/>
      <c r="N57" s="97"/>
      <c r="P57"/>
      <c r="V57" s="97"/>
      <c r="W57" s="97"/>
      <c r="X57" s="138"/>
    </row>
    <row r="58" spans="3:24" hidden="1" x14ac:dyDescent="0.2">
      <c r="C58" s="106" t="s">
        <v>126</v>
      </c>
      <c r="D58" s="106">
        <f>-16*11347</f>
        <v>-181552</v>
      </c>
      <c r="F58" s="109"/>
      <c r="G58"/>
      <c r="H58" s="109"/>
      <c r="I58" s="109"/>
      <c r="J58"/>
      <c r="N58" s="97"/>
      <c r="P58"/>
      <c r="V58" s="97"/>
      <c r="W58" s="97"/>
      <c r="X58" s="138"/>
    </row>
    <row r="59" spans="3:24" hidden="1" x14ac:dyDescent="0.2">
      <c r="C59" s="106" t="s">
        <v>20</v>
      </c>
      <c r="D59" s="165">
        <f>-10*11347</f>
        <v>-113470</v>
      </c>
      <c r="F59" s="109"/>
      <c r="G59"/>
      <c r="H59" s="109"/>
      <c r="I59" s="109"/>
      <c r="J59"/>
      <c r="N59" s="97"/>
      <c r="P59"/>
      <c r="V59" s="97"/>
      <c r="W59" s="97"/>
      <c r="X59" s="138"/>
    </row>
    <row r="60" spans="3:24" hidden="1" x14ac:dyDescent="0.2">
      <c r="C60" s="106" t="s">
        <v>127</v>
      </c>
      <c r="D60" s="1">
        <f>SUM(D54:D59)</f>
        <v>4679772.5999999996</v>
      </c>
      <c r="F60" s="109"/>
      <c r="G60"/>
      <c r="H60" s="109"/>
      <c r="I60" s="109"/>
      <c r="J60"/>
      <c r="N60" s="97"/>
      <c r="P60"/>
      <c r="V60" s="97"/>
      <c r="W60" s="97"/>
      <c r="X60" s="138"/>
    </row>
    <row r="61" spans="3:24" hidden="1" x14ac:dyDescent="0.2">
      <c r="C61" s="108"/>
      <c r="D61" s="132"/>
      <c r="F61" s="109"/>
      <c r="G61"/>
      <c r="H61" s="109"/>
      <c r="I61" s="109"/>
      <c r="J61"/>
      <c r="K61"/>
      <c r="N61" s="97"/>
      <c r="P61"/>
      <c r="V61" s="97"/>
      <c r="W61" s="97"/>
      <c r="X61" s="138"/>
    </row>
    <row r="62" spans="3:24" x14ac:dyDescent="0.2">
      <c r="C62" s="108" t="s">
        <v>114</v>
      </c>
      <c r="F62" s="109"/>
      <c r="G62"/>
      <c r="H62" s="109"/>
      <c r="I62" s="109"/>
      <c r="J62"/>
      <c r="K62"/>
      <c r="N62" s="97"/>
      <c r="P62"/>
      <c r="V62" s="97"/>
      <c r="W62" s="97"/>
      <c r="X62" s="138"/>
    </row>
    <row r="63" spans="3:24" x14ac:dyDescent="0.2">
      <c r="F63" s="109"/>
      <c r="G63"/>
      <c r="H63" s="109"/>
      <c r="I63" s="109"/>
      <c r="J63"/>
      <c r="K63"/>
      <c r="N63" s="97"/>
      <c r="P63"/>
      <c r="V63" s="97"/>
      <c r="W63" s="97"/>
      <c r="X63" s="138"/>
    </row>
    <row r="64" spans="3:24" x14ac:dyDescent="0.2">
      <c r="I64" s="104"/>
      <c r="J64" s="104"/>
      <c r="K64" s="104"/>
      <c r="L64" s="104"/>
      <c r="M64" s="104"/>
      <c r="O64" s="104"/>
      <c r="P64" s="104"/>
      <c r="Q64" s="104"/>
      <c r="R64" s="104"/>
      <c r="S64" s="104"/>
      <c r="T64" s="104"/>
      <c r="U64" s="104"/>
      <c r="V64" s="141"/>
    </row>
    <row r="65" spans="6:22" x14ac:dyDescent="0.2">
      <c r="I65" s="104"/>
      <c r="J65" s="104"/>
      <c r="K65" s="104"/>
      <c r="L65" s="104"/>
      <c r="M65" s="104"/>
      <c r="O65" s="104"/>
      <c r="P65" s="104"/>
      <c r="Q65" s="104"/>
      <c r="R65" s="104"/>
      <c r="S65" s="104"/>
      <c r="T65" s="104"/>
      <c r="U65" s="104"/>
      <c r="V65" s="141"/>
    </row>
    <row r="66" spans="6:22" x14ac:dyDescent="0.2">
      <c r="I66" s="104"/>
      <c r="J66" s="104"/>
      <c r="K66" s="104"/>
      <c r="L66" s="104"/>
      <c r="M66" s="104"/>
      <c r="O66" s="104"/>
      <c r="P66" s="104"/>
      <c r="Q66" s="104"/>
      <c r="R66" s="104"/>
      <c r="S66" s="104"/>
      <c r="T66" s="104"/>
      <c r="U66" s="104"/>
      <c r="V66" s="141"/>
    </row>
    <row r="67" spans="6:22" x14ac:dyDescent="0.2">
      <c r="I67" s="104"/>
      <c r="J67" s="104"/>
      <c r="K67" s="104"/>
      <c r="L67" s="104"/>
      <c r="M67" s="104"/>
      <c r="V67" s="141"/>
    </row>
    <row r="68" spans="6:22" x14ac:dyDescent="0.2">
      <c r="F68" s="109"/>
      <c r="G68"/>
      <c r="H68" s="97"/>
      <c r="M68"/>
      <c r="N68" s="97"/>
      <c r="U68" s="138"/>
      <c r="V68"/>
    </row>
  </sheetData>
  <mergeCells count="10">
    <mergeCell ref="O3:U3"/>
    <mergeCell ref="B4:C4"/>
    <mergeCell ref="B27:C27"/>
    <mergeCell ref="B31:C31"/>
    <mergeCell ref="I3:M3"/>
    <mergeCell ref="J40:M40"/>
    <mergeCell ref="J37:M37"/>
    <mergeCell ref="J36:M36"/>
    <mergeCell ref="J38:M38"/>
    <mergeCell ref="J35:M35"/>
  </mergeCells>
  <pageMargins left="3.937007874015748E-2" right="3.937007874015748E-2" top="0.51181102362204722" bottom="0.31496062992125984" header="0.31496062992125984" footer="0.31496062992125984"/>
  <pageSetup paperSize="9" scale="75" orientation="landscape" r:id="rId1"/>
  <headerFooter>
    <oddFooter>&amp;L
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168493/18</EnclosureFileNumber>
    <MeetingStartDate xmlns="d08b57ff-b9b7-4581-975d-98f87b579a51">2018-11-13T12:00:00+00:00</MeetingStartDate>
    <AgendaId xmlns="d08b57ff-b9b7-4581-975d-98f87b579a51">9050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3067803</FusionId>
    <DocumentType xmlns="d08b57ff-b9b7-4581-975d-98f87b579a51"/>
    <AgendaAccessLevelName xmlns="d08b57ff-b9b7-4581-975d-98f87b579a51">Åben</AgendaAccessLevelName>
    <UNC xmlns="d08b57ff-b9b7-4581-975d-98f87b579a51">2799853</UNC>
    <MeetingDateAndTime xmlns="d08b57ff-b9b7-4581-975d-98f87b579a51">13-11-2018 fra 13:00 - 17:30</MeetingDateAndTime>
    <MeetingTitle xmlns="d08b57ff-b9b7-4581-975d-98f87b579a51">13-11-2018</MeetingTitle>
    <MeetingEndDate xmlns="d08b57ff-b9b7-4581-975d-98f87b579a51">2018-11-13T16:30:00+00:00</MeetingEndDate>
    <PWDescription xmlns="d08b57ff-b9b7-4581-975d-98f87b579a51">Model 2 - Juniorklubber - forslag til  tildelingsmodel fra 2019 - Ex. lukkede 1.8.2019 -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A33B60F-8F19-4EB6-9D6F-53B390379182}"/>
</file>

<file path=customXml/itemProps2.xml><?xml version="1.0" encoding="utf-8"?>
<ds:datastoreItem xmlns:ds="http://schemas.openxmlformats.org/officeDocument/2006/customXml" ds:itemID="{B3E447B4-4423-40AB-A629-85807339AF7A}"/>
</file>

<file path=customXml/itemProps3.xml><?xml version="1.0" encoding="utf-8"?>
<ds:datastoreItem xmlns:ds="http://schemas.openxmlformats.org/officeDocument/2006/customXml" ds:itemID="{29E1C385-345D-4F72-A77C-83844D4BE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Model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-13-11-2018 - Bilag 158.02 Model 2 Juniorklubber - forslag til tildelingsmodel fra 182019</dc:title>
  <dc:creator>Lissy Andersen</dc:creator>
  <cp:lastModifiedBy>Birthe Laustrup Carstensen</cp:lastModifiedBy>
  <cp:lastPrinted>2018-11-13T07:45:44Z</cp:lastPrinted>
  <dcterms:created xsi:type="dcterms:W3CDTF">1996-11-12T13:28:11Z</dcterms:created>
  <dcterms:modified xsi:type="dcterms:W3CDTF">2018-11-15T14:03:17Z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